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Questions" sheetId="1" r:id="rId1"/>
    <sheet name="Calculation" sheetId="2" r:id="rId2"/>
    <sheet name="Result" sheetId="3" r:id="rId3"/>
  </sheets>
  <definedNames>
    <definedName name="TABLE" localSheetId="1">'Result'!$D$7:$G$20</definedName>
    <definedName name="TABLE" localSheetId="0">'Questions'!$D$35:$F$45</definedName>
  </definedNames>
  <calcPr fullCalcOnLoad="1"/>
</workbook>
</file>

<file path=xl/sharedStrings.xml><?xml version="1.0" encoding="utf-8"?>
<sst xmlns="http://schemas.openxmlformats.org/spreadsheetml/2006/main" count="199" uniqueCount="87">
  <si>
    <t>Annual heat demand</t>
  </si>
  <si>
    <t>kWh</t>
  </si>
  <si>
    <t>Running hours</t>
  </si>
  <si>
    <t>hours</t>
  </si>
  <si>
    <t>Electricity generated</t>
  </si>
  <si>
    <t>Own use of generation</t>
  </si>
  <si>
    <t>%</t>
  </si>
  <si>
    <t>Unit cost of avoided import</t>
  </si>
  <si>
    <t>p/kWh</t>
  </si>
  <si>
    <t>Value of avoided import</t>
  </si>
  <si>
    <t>£</t>
  </si>
  <si>
    <t>Unit value of export</t>
  </si>
  <si>
    <t>Value of export</t>
  </si>
  <si>
    <t xml:space="preserve"> £</t>
  </si>
  <si>
    <t>Total value of generation</t>
  </si>
  <si>
    <t>Marginal cost of unit</t>
  </si>
  <si>
    <t>Simple payback</t>
  </si>
  <si>
    <t>years</t>
  </si>
  <si>
    <t>What is your total electricity bill for the year?</t>
  </si>
  <si>
    <t>What is your daily electricity standing charge?</t>
  </si>
  <si>
    <t>What is your total gas bill for the year?</t>
  </si>
  <si>
    <t>What is your daily gas standing charge?</t>
  </si>
  <si>
    <t>pence</t>
  </si>
  <si>
    <t>Choose your current boiler type</t>
  </si>
  <si>
    <t>annual standing charge</t>
  </si>
  <si>
    <t>electricity bill</t>
  </si>
  <si>
    <t>kWhe annually</t>
  </si>
  <si>
    <t>What is your unit charge for electricity?</t>
  </si>
  <si>
    <t>What is your unit charge for gas?</t>
  </si>
  <si>
    <t>entry data</t>
  </si>
  <si>
    <t>derived</t>
  </si>
  <si>
    <t>default</t>
  </si>
  <si>
    <t>kWh gas annually</t>
  </si>
  <si>
    <t>kWh heat annually</t>
  </si>
  <si>
    <t>running hours</t>
  </si>
  <si>
    <t>electricity generated</t>
  </si>
  <si>
    <t>utilisation</t>
  </si>
  <si>
    <t>avoided import</t>
  </si>
  <si>
    <t>export</t>
  </si>
  <si>
    <t>value of avoided import</t>
  </si>
  <si>
    <t>value of export</t>
  </si>
  <si>
    <t>net savings</t>
  </si>
  <si>
    <t>marginal cost of micro CHP</t>
  </si>
  <si>
    <t>payback</t>
  </si>
  <si>
    <t>kWt</t>
  </si>
  <si>
    <t>kWe</t>
  </si>
  <si>
    <t>unit value of export</t>
  </si>
  <si>
    <t>micro CHP unit specification</t>
  </si>
  <si>
    <t>marginal cost</t>
  </si>
  <si>
    <t>2) wall mounted cast iron</t>
  </si>
  <si>
    <t>3) wall mounted lightweight</t>
  </si>
  <si>
    <t>4) condensing boiler</t>
  </si>
  <si>
    <t>1) floor mounted cast iron</t>
  </si>
  <si>
    <t>Calculating your energy consumption</t>
  </si>
  <si>
    <t>Click here for your results</t>
  </si>
  <si>
    <t>Calculate</t>
  </si>
  <si>
    <t>In order to work out whether micro CHP is a worthwhile investment, please fill in the red boxes below.  When you have completed them, click on the calculate button, and you will get a summary of the potential savings and paybacks for your home.</t>
  </si>
  <si>
    <t>Based on the running hours and the output of the micro CHP unit, this is the total electricity generated by the unit.</t>
  </si>
  <si>
    <t>This is the percentage of the electricity you generate which will be consumed in the home.  The remainder will be exported.  Ideally this figure should be as high as possible as the price you receive for exported (excess) power is unlikely to be as high as the cost for the electricity you buy.</t>
  </si>
  <si>
    <t>The price you pay for each kWh of electricity you purchase.</t>
  </si>
  <si>
    <t>The price you pay for each kWh of electricity you purchase, multiplied by the number of kWh of your own generation which you consume yourself.</t>
  </si>
  <si>
    <t>The price per kWh multiplied by the number of kWh you export to the network to be used by other consumers.</t>
  </si>
  <si>
    <t>Comment</t>
  </si>
  <si>
    <t>Here are the results based on your inputs.  Please note that this is a simplified calculation and is intended for the general public to assess the potential for installing micro CHP in their homes.  It is not intended to be academically rigorous and no responsibility is accepted for the accuracy of results.  No reliance on these results should be made and the author is not liable for any investment decisions.  For further estimates of the potential for micro CHP, please contact your supplier.</t>
  </si>
  <si>
    <t>RETURN TO INPUTS PAGE</t>
  </si>
  <si>
    <t>Marginal cost of unit divided by total value of generation.  Any result less than 10 years is probably worth considering and a payback of less than 3 years is extremely good.</t>
  </si>
  <si>
    <t>FIT (Feed In Tariff)</t>
  </si>
  <si>
    <t>value of FIT</t>
  </si>
  <si>
    <t>additional gas cost (compared with NEW condensing boiler)</t>
  </si>
  <si>
    <t>additional gas consumption (compared with NEW condensing boiler)</t>
  </si>
  <si>
    <t>micro CHP gas consumption</t>
  </si>
  <si>
    <t>Value of FIT generation</t>
  </si>
  <si>
    <t>Based on the FIT generation rate you entered multiplied by your total kWh generated</t>
  </si>
  <si>
    <t>Additional gas cost</t>
  </si>
  <si>
    <t>Because some of the gas you buy is used to generate electricity rather than heat, this is the additional gas you will consume to produce the total heat you currently consume, compared with a brand new condesning gas boiler.  As you are replacing an old boiler with low efficiency, you will probably find that your gas bill will actually fall significantly.</t>
  </si>
  <si>
    <t>The sum of the value of avoided import and the price you get from your supplier for your exported power in addition to the FIT generation payment.</t>
  </si>
  <si>
    <t>Total net savings</t>
  </si>
  <si>
    <t>Total value of displaced electricity purchase, export and FIT less the cost of additional gas.</t>
  </si>
  <si>
    <t>The price your supplier pays you for each unit you export to the public network.  This is normally significantly less than the price you pay as it includes a provision for transport of electricity as well as the cost of maintaining the  network.
The UK FIT deems that 50% of generation is exported unless the operator installs an export meter to measure the actual amount.  This calculation assumes metered not deemed export.</t>
  </si>
  <si>
    <t>This is the amount of actual heat (for space and water heating) that you consume each year, based on your current energy bills and the boiler you specified.</t>
  </si>
  <si>
    <t>This figure assumes that all the heat is provided from the primary micro CHP unit not the supplementary burner.  This may not be valid, particularly for very large heating demands i.e. those in excess of 30,000 kWh per year.</t>
  </si>
  <si>
    <t>Based on the cost of the selected micro CHP unit (currently defaults to Whispergen Stirling engine).  It is assumed that you would otherwise be replacing your existing (obsolete) boiler with a new high efficiency condensing boiler.</t>
  </si>
  <si>
    <t>If you are on a "no standing charge" tariff leave this number unchanged</t>
  </si>
  <si>
    <t>If you are on a "no standing charge" tariff use the value for secondary units</t>
  </si>
  <si>
    <t>new boiler gas consumption</t>
  </si>
  <si>
    <t>What is the FIT generation tariff for your chosen micro CHP unit?</t>
  </si>
  <si>
    <t>Assume 10p/kWh if not known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</si>
</sst>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0"/>
    <numFmt numFmtId="168" formatCode="0.00000"/>
    <numFmt numFmtId="169" formatCode="0.0000000"/>
    <numFmt numFmtId="170" formatCode="[$-809]dd\ mmmm\ yyyy"/>
    <numFmt numFmtId="171" formatCode="0.0%"/>
  </numFmts>
  <fonts count="42">
    <font>
      <sz val="10"/>
      <name val="Arial"/>
      <family val="0"/>
    </font>
    <font>
      <sz val="8"/>
      <name val="Arial"/>
      <family val="0"/>
    </font>
    <font>
      <sz val="10"/>
      <color indexed="9"/>
      <name val="Arial"/>
      <family val="2"/>
    </font>
    <font>
      <b/>
      <sz val="14"/>
      <color indexed="9"/>
      <name val="Arial"/>
      <family val="2"/>
    </font>
    <font>
      <u val="single"/>
      <sz val="10"/>
      <color indexed="12"/>
      <name val="Arial"/>
      <family val="0"/>
    </font>
    <font>
      <u val="single"/>
      <sz val="10"/>
      <color indexed="36"/>
      <name val="Arial"/>
      <family val="0"/>
    </font>
    <font>
      <sz val="10"/>
      <color indexed="40"/>
      <name val="Arial"/>
      <family val="2"/>
    </font>
    <font>
      <sz val="14"/>
      <color indexed="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30" borderId="0" applyNumberFormat="0" applyAlignment="0" applyProtection="0"/>
    <xf numFmtId="0" fontId="35" fillId="31" borderId="1" applyNumberFormat="0" applyAlignment="0" applyProtection="0"/>
    <xf numFmtId="0" fontId="36" fillId="0" borderId="6" applyNumberFormat="0" applyFill="0" applyAlignment="0" applyProtection="0"/>
    <xf numFmtId="0" fontId="37" fillId="32" borderId="0" applyNumberFormat="0" applyBorder="0" applyAlignment="0" applyProtection="0"/>
    <xf numFmtId="0" fontId="0" fillId="33"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34" borderId="0" xfId="0" applyFill="1" applyAlignment="1">
      <alignment/>
    </xf>
    <xf numFmtId="0" fontId="1" fillId="0" borderId="0" xfId="0" applyFont="1" applyBorder="1" applyAlignment="1">
      <alignment wrapText="1"/>
    </xf>
    <xf numFmtId="1" fontId="0" fillId="34" borderId="0" xfId="0" applyNumberFormat="1" applyFill="1" applyAlignment="1">
      <alignment/>
    </xf>
    <xf numFmtId="9" fontId="0" fillId="34" borderId="0" xfId="59" applyFont="1" applyFill="1" applyAlignment="1">
      <alignment/>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0"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9" fontId="0" fillId="35" borderId="12" xfId="59" applyFont="1" applyFill="1" applyBorder="1" applyAlignment="1">
      <alignment/>
    </xf>
    <xf numFmtId="9" fontId="0" fillId="35" borderId="14" xfId="59" applyFont="1" applyFill="1" applyBorder="1" applyAlignment="1">
      <alignment/>
    </xf>
    <xf numFmtId="9" fontId="0" fillId="35" borderId="17" xfId="59" applyFont="1" applyFill="1" applyBorder="1" applyAlignment="1">
      <alignment/>
    </xf>
    <xf numFmtId="0" fontId="0" fillId="36" borderId="0" xfId="0" applyFill="1" applyAlignment="1">
      <alignment/>
    </xf>
    <xf numFmtId="0" fontId="2" fillId="36" borderId="0" xfId="0" applyFont="1" applyFill="1" applyBorder="1" applyAlignment="1">
      <alignment/>
    </xf>
    <xf numFmtId="1" fontId="0" fillId="36" borderId="0" xfId="0" applyNumberFormat="1" applyFill="1" applyAlignment="1">
      <alignment/>
    </xf>
    <xf numFmtId="0" fontId="0" fillId="36" borderId="10" xfId="0" applyFill="1" applyBorder="1" applyAlignment="1">
      <alignment/>
    </xf>
    <xf numFmtId="0" fontId="0" fillId="36" borderId="11" xfId="0" applyFill="1" applyBorder="1" applyAlignment="1">
      <alignment/>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2" xfId="0" applyFill="1" applyBorder="1" applyAlignment="1">
      <alignment/>
    </xf>
    <xf numFmtId="0" fontId="0" fillId="36" borderId="14" xfId="0" applyFill="1" applyBorder="1" applyAlignment="1">
      <alignment/>
    </xf>
    <xf numFmtId="0" fontId="0" fillId="36" borderId="17" xfId="0" applyFill="1" applyBorder="1" applyAlignment="1">
      <alignment/>
    </xf>
    <xf numFmtId="0" fontId="1" fillId="36" borderId="18" xfId="0" applyFont="1" applyFill="1" applyBorder="1" applyAlignment="1">
      <alignment/>
    </xf>
    <xf numFmtId="3" fontId="1" fillId="36" borderId="19" xfId="0" applyNumberFormat="1" applyFont="1" applyFill="1" applyBorder="1" applyAlignment="1">
      <alignment wrapText="1"/>
    </xf>
    <xf numFmtId="0" fontId="1" fillId="36" borderId="19" xfId="0" applyFont="1" applyFill="1" applyBorder="1" applyAlignment="1">
      <alignment wrapText="1"/>
    </xf>
    <xf numFmtId="0" fontId="1" fillId="36" borderId="0" xfId="0" applyFont="1" applyFill="1" applyBorder="1" applyAlignment="1">
      <alignment wrapText="1"/>
    </xf>
    <xf numFmtId="0" fontId="1" fillId="36" borderId="20" xfId="0" applyFont="1" applyFill="1" applyBorder="1" applyAlignment="1">
      <alignment/>
    </xf>
    <xf numFmtId="3" fontId="1" fillId="36" borderId="21" xfId="0" applyNumberFormat="1" applyFont="1" applyFill="1" applyBorder="1" applyAlignment="1">
      <alignment wrapText="1"/>
    </xf>
    <xf numFmtId="0" fontId="1" fillId="36" borderId="21" xfId="0" applyFont="1" applyFill="1" applyBorder="1" applyAlignment="1">
      <alignment wrapText="1"/>
    </xf>
    <xf numFmtId="9" fontId="1" fillId="36" borderId="21" xfId="0" applyNumberFormat="1" applyFont="1" applyFill="1" applyBorder="1" applyAlignment="1">
      <alignment wrapText="1"/>
    </xf>
    <xf numFmtId="1" fontId="1" fillId="36" borderId="21" xfId="0" applyNumberFormat="1" applyFont="1" applyFill="1" applyBorder="1" applyAlignment="1">
      <alignment wrapText="1"/>
    </xf>
    <xf numFmtId="164" fontId="1" fillId="36" borderId="21" xfId="0" applyNumberFormat="1" applyFont="1" applyFill="1" applyBorder="1" applyAlignment="1">
      <alignment wrapText="1"/>
    </xf>
    <xf numFmtId="0" fontId="2" fillId="37" borderId="0" xfId="0" applyFont="1" applyFill="1" applyBorder="1" applyAlignment="1">
      <alignment/>
    </xf>
    <xf numFmtId="0" fontId="2" fillId="37" borderId="0" xfId="0" applyFont="1" applyFill="1" applyAlignment="1">
      <alignment/>
    </xf>
    <xf numFmtId="9" fontId="0" fillId="38" borderId="0" xfId="59" applyFont="1" applyFill="1" applyAlignment="1">
      <alignment/>
    </xf>
    <xf numFmtId="0" fontId="3" fillId="36" borderId="0" xfId="0" applyFont="1" applyFill="1" applyAlignment="1">
      <alignment/>
    </xf>
    <xf numFmtId="0" fontId="2" fillId="36" borderId="0" xfId="0" applyFont="1" applyFill="1" applyAlignment="1">
      <alignment/>
    </xf>
    <xf numFmtId="9" fontId="0" fillId="36" borderId="0" xfId="59" applyFill="1" applyAlignment="1">
      <alignment/>
    </xf>
    <xf numFmtId="9" fontId="0" fillId="36" borderId="12" xfId="59" applyFill="1" applyBorder="1" applyAlignment="1">
      <alignment/>
    </xf>
    <xf numFmtId="9" fontId="0" fillId="36" borderId="14" xfId="59" applyFill="1" applyBorder="1" applyAlignment="1">
      <alignment/>
    </xf>
    <xf numFmtId="9" fontId="0" fillId="36" borderId="17" xfId="59" applyFill="1" applyBorder="1" applyAlignment="1">
      <alignment/>
    </xf>
    <xf numFmtId="0" fontId="4" fillId="30" borderId="0" xfId="53" applyAlignment="1" applyProtection="1">
      <alignment/>
      <protection/>
    </xf>
    <xf numFmtId="0" fontId="2" fillId="30" borderId="0" xfId="0" applyFont="1" applyFill="1" applyBorder="1" applyAlignment="1">
      <alignment/>
    </xf>
    <xf numFmtId="0" fontId="2" fillId="36" borderId="0" xfId="0" applyFont="1" applyFill="1" applyBorder="1" applyAlignment="1">
      <alignment vertical="top"/>
    </xf>
    <xf numFmtId="3" fontId="2" fillId="36" borderId="0" xfId="0" applyNumberFormat="1" applyFont="1" applyFill="1" applyBorder="1" applyAlignment="1">
      <alignment vertical="top" wrapText="1"/>
    </xf>
    <xf numFmtId="0" fontId="2" fillId="36" borderId="0" xfId="0" applyFont="1" applyFill="1" applyBorder="1" applyAlignment="1">
      <alignment vertical="top" wrapText="1"/>
    </xf>
    <xf numFmtId="0" fontId="2" fillId="36" borderId="0" xfId="0" applyFont="1" applyFill="1" applyAlignment="1">
      <alignment vertical="top"/>
    </xf>
    <xf numFmtId="9" fontId="2" fillId="36" borderId="0" xfId="0" applyNumberFormat="1" applyFont="1" applyFill="1" applyBorder="1" applyAlignment="1">
      <alignment vertical="top" wrapText="1"/>
    </xf>
    <xf numFmtId="0" fontId="6" fillId="36" borderId="0" xfId="0" applyFont="1" applyFill="1" applyAlignment="1">
      <alignment/>
    </xf>
    <xf numFmtId="0" fontId="6" fillId="36" borderId="0" xfId="0" applyFont="1" applyFill="1" applyAlignment="1">
      <alignment vertical="top" wrapText="1"/>
    </xf>
    <xf numFmtId="1" fontId="2" fillId="36" borderId="0" xfId="0" applyNumberFormat="1" applyFont="1" applyFill="1" applyBorder="1" applyAlignment="1">
      <alignment horizontal="left" vertical="top" wrapText="1"/>
    </xf>
    <xf numFmtId="0" fontId="2" fillId="36" borderId="0" xfId="0" applyFont="1" applyFill="1" applyBorder="1" applyAlignment="1">
      <alignment horizontal="left" vertical="top" wrapText="1"/>
    </xf>
    <xf numFmtId="0" fontId="3" fillId="36" borderId="0" xfId="0" applyFont="1" applyFill="1" applyAlignment="1">
      <alignment horizontal="right"/>
    </xf>
    <xf numFmtId="0" fontId="2" fillId="36" borderId="0" xfId="0" applyFont="1" applyFill="1" applyAlignment="1">
      <alignment horizontal="right"/>
    </xf>
    <xf numFmtId="0" fontId="2" fillId="36" borderId="0" xfId="0" applyFont="1" applyFill="1" applyBorder="1" applyAlignment="1">
      <alignment horizontal="right" vertical="top"/>
    </xf>
    <xf numFmtId="0" fontId="2" fillId="36" borderId="0" xfId="0" applyFont="1" applyFill="1" applyBorder="1" applyAlignment="1">
      <alignment horizontal="right" vertical="top" wrapText="1"/>
    </xf>
    <xf numFmtId="0" fontId="7" fillId="36" borderId="22" xfId="0" applyFont="1" applyFill="1" applyBorder="1" applyAlignment="1">
      <alignment vertical="top" wrapText="1"/>
    </xf>
    <xf numFmtId="0" fontId="2" fillId="36" borderId="23" xfId="0" applyFont="1" applyFill="1" applyBorder="1" applyAlignment="1">
      <alignment horizontal="right" vertical="top"/>
    </xf>
    <xf numFmtId="164" fontId="7" fillId="36" borderId="23" xfId="0" applyNumberFormat="1" applyFont="1" applyFill="1" applyBorder="1" applyAlignment="1">
      <alignment vertical="top" wrapText="1"/>
    </xf>
    <xf numFmtId="0" fontId="7" fillId="36" borderId="19" xfId="0" applyFont="1" applyFill="1" applyBorder="1" applyAlignment="1">
      <alignment vertical="top" wrapText="1"/>
    </xf>
    <xf numFmtId="0" fontId="2" fillId="36" borderId="0" xfId="0" applyFont="1" applyFill="1" applyAlignment="1">
      <alignment horizontal="justify" vertical="top" wrapText="1"/>
    </xf>
    <xf numFmtId="0" fontId="2" fillId="36"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45"/>
  <sheetViews>
    <sheetView tabSelected="1" zoomScalePageLayoutView="0" workbookViewId="0" topLeftCell="A1">
      <selection activeCell="K53" sqref="K53"/>
    </sheetView>
  </sheetViews>
  <sheetFormatPr defaultColWidth="9.140625" defaultRowHeight="12.75"/>
  <cols>
    <col min="1" max="3" width="9.140625" style="17" customWidth="1"/>
    <col min="4" max="4" width="19.28125" style="17" bestFit="1" customWidth="1"/>
    <col min="5" max="5" width="10.00390625" style="17" bestFit="1" customWidth="1"/>
    <col min="6" max="6" width="9.140625" style="17" customWidth="1"/>
    <col min="7" max="7" width="32.421875" style="17" customWidth="1"/>
    <col min="8" max="8" width="9.140625" style="17" customWidth="1"/>
    <col min="9" max="9" width="3.28125" style="17" customWidth="1"/>
    <col min="10" max="10" width="64.00390625" style="17" bestFit="1" customWidth="1"/>
    <col min="11" max="16384" width="9.140625" style="17" customWidth="1"/>
  </cols>
  <sheetData>
    <row r="1" spans="8:10" ht="12.75">
      <c r="H1" s="17" t="s">
        <v>29</v>
      </c>
      <c r="I1" s="17" t="s">
        <v>30</v>
      </c>
      <c r="J1" s="17" t="s">
        <v>31</v>
      </c>
    </row>
    <row r="2" spans="2:8" ht="18">
      <c r="B2" s="42" t="s">
        <v>53</v>
      </c>
      <c r="C2" s="42"/>
      <c r="D2" s="42"/>
      <c r="E2" s="42"/>
      <c r="F2" s="42"/>
      <c r="G2" s="42"/>
      <c r="H2" s="42"/>
    </row>
    <row r="4" spans="2:8" ht="43.5" customHeight="1">
      <c r="B4" s="67" t="s">
        <v>56</v>
      </c>
      <c r="C4" s="67"/>
      <c r="D4" s="67"/>
      <c r="E4" s="67"/>
      <c r="F4" s="67"/>
      <c r="G4" s="67"/>
      <c r="H4" s="67"/>
    </row>
    <row r="7" spans="2:8" ht="12.75">
      <c r="B7" s="18" t="s">
        <v>18</v>
      </c>
      <c r="C7" s="18"/>
      <c r="D7" s="18"/>
      <c r="E7" s="18"/>
      <c r="F7" s="18"/>
      <c r="G7" s="18" t="s">
        <v>10</v>
      </c>
      <c r="H7" s="49">
        <v>760</v>
      </c>
    </row>
    <row r="8" spans="2:8" ht="12.75">
      <c r="B8" s="18"/>
      <c r="C8" s="18"/>
      <c r="D8" s="18"/>
      <c r="E8" s="18"/>
      <c r="F8" s="18"/>
      <c r="G8" s="18"/>
      <c r="H8" s="18"/>
    </row>
    <row r="9" spans="2:12" ht="12.75">
      <c r="B9" s="18" t="s">
        <v>19</v>
      </c>
      <c r="C9" s="18"/>
      <c r="D9" s="18"/>
      <c r="E9" s="18"/>
      <c r="F9" s="18"/>
      <c r="G9" s="18" t="s">
        <v>22</v>
      </c>
      <c r="H9" s="49">
        <v>28</v>
      </c>
      <c r="J9" s="18" t="s">
        <v>82</v>
      </c>
      <c r="K9" s="17">
        <f>365*H9/100</f>
        <v>102.2</v>
      </c>
      <c r="L9" s="17" t="s">
        <v>24</v>
      </c>
    </row>
    <row r="10" spans="2:8" ht="12.75">
      <c r="B10" s="18"/>
      <c r="C10" s="18"/>
      <c r="D10" s="18"/>
      <c r="E10" s="18"/>
      <c r="F10" s="18"/>
      <c r="G10" s="18"/>
      <c r="H10" s="18"/>
    </row>
    <row r="11" spans="2:12" ht="12.75">
      <c r="B11" s="18" t="s">
        <v>27</v>
      </c>
      <c r="C11" s="18"/>
      <c r="D11" s="18"/>
      <c r="E11" s="18"/>
      <c r="F11" s="18"/>
      <c r="G11" s="18" t="s">
        <v>8</v>
      </c>
      <c r="H11" s="49">
        <v>12.67</v>
      </c>
      <c r="J11" s="18" t="s">
        <v>83</v>
      </c>
      <c r="K11" s="17">
        <f>H7-K9</f>
        <v>657.8</v>
      </c>
      <c r="L11" s="17" t="s">
        <v>25</v>
      </c>
    </row>
    <row r="12" spans="2:10" ht="12.75">
      <c r="B12" s="17" t="s">
        <v>26</v>
      </c>
      <c r="G12" s="17" t="s">
        <v>1</v>
      </c>
      <c r="I12" s="19">
        <f>K11*100/H11</f>
        <v>5191.791633780584</v>
      </c>
      <c r="J12" s="19"/>
    </row>
    <row r="13" spans="2:8" ht="12.75">
      <c r="B13" s="43" t="s">
        <v>20</v>
      </c>
      <c r="C13" s="43"/>
      <c r="D13" s="43"/>
      <c r="E13" s="43"/>
      <c r="F13" s="43"/>
      <c r="G13" s="43" t="s">
        <v>10</v>
      </c>
      <c r="H13" s="49">
        <v>1200</v>
      </c>
    </row>
    <row r="14" spans="2:8" ht="12.75">
      <c r="B14" s="43"/>
      <c r="C14" s="43"/>
      <c r="D14" s="43"/>
      <c r="E14" s="43"/>
      <c r="F14" s="43"/>
      <c r="G14" s="43"/>
      <c r="H14" s="43"/>
    </row>
    <row r="15" spans="2:12" ht="12.75">
      <c r="B15" s="43" t="s">
        <v>21</v>
      </c>
      <c r="C15" s="43"/>
      <c r="D15" s="43"/>
      <c r="E15" s="43"/>
      <c r="F15" s="43"/>
      <c r="G15" s="43" t="s">
        <v>22</v>
      </c>
      <c r="H15" s="49">
        <v>34</v>
      </c>
      <c r="J15" s="18" t="s">
        <v>82</v>
      </c>
      <c r="K15" s="17">
        <f>365*H15/100</f>
        <v>124.1</v>
      </c>
      <c r="L15" s="17" t="s">
        <v>24</v>
      </c>
    </row>
    <row r="16" spans="2:8" ht="12.75">
      <c r="B16" s="43"/>
      <c r="C16" s="43"/>
      <c r="D16" s="43"/>
      <c r="E16" s="43"/>
      <c r="F16" s="43"/>
      <c r="G16" s="43"/>
      <c r="H16" s="43"/>
    </row>
    <row r="17" spans="2:11" ht="12.75">
      <c r="B17" s="43" t="s">
        <v>28</v>
      </c>
      <c r="C17" s="43"/>
      <c r="D17" s="43"/>
      <c r="E17" s="43"/>
      <c r="F17" s="43"/>
      <c r="G17" s="43" t="s">
        <v>8</v>
      </c>
      <c r="H17" s="49">
        <v>3.552</v>
      </c>
      <c r="J17" s="18" t="s">
        <v>83</v>
      </c>
      <c r="K17" s="17">
        <f>H13-K15</f>
        <v>1075.9</v>
      </c>
    </row>
    <row r="18" spans="2:9" ht="13.5" thickBot="1">
      <c r="B18" s="17" t="s">
        <v>32</v>
      </c>
      <c r="G18" s="17" t="s">
        <v>1</v>
      </c>
      <c r="I18" s="19">
        <f>K17*100/H17</f>
        <v>30289.97747747748</v>
      </c>
    </row>
    <row r="19" spans="2:14" ht="12.75">
      <c r="B19" s="43" t="s">
        <v>23</v>
      </c>
      <c r="C19" s="43"/>
      <c r="D19" s="43"/>
      <c r="E19" s="43"/>
      <c r="F19" s="43"/>
      <c r="G19" s="49" t="s">
        <v>50</v>
      </c>
      <c r="H19" s="44">
        <f>VLOOKUP(G19,K19:N22,4,TRUE)</f>
        <v>0.8</v>
      </c>
      <c r="J19" s="17">
        <v>0.7</v>
      </c>
      <c r="K19" s="20" t="s">
        <v>52</v>
      </c>
      <c r="L19" s="21"/>
      <c r="M19" s="21"/>
      <c r="N19" s="45">
        <v>0.6</v>
      </c>
    </row>
    <row r="20" spans="2:14" ht="12.75" hidden="1">
      <c r="B20" s="17" t="s">
        <v>33</v>
      </c>
      <c r="G20" s="17" t="s">
        <v>1</v>
      </c>
      <c r="I20" s="19">
        <f>I18*H19</f>
        <v>24231.981981981986</v>
      </c>
      <c r="K20" s="22" t="s">
        <v>49</v>
      </c>
      <c r="L20" s="23"/>
      <c r="M20" s="23"/>
      <c r="N20" s="46">
        <v>0.7</v>
      </c>
    </row>
    <row r="21" spans="2:14" ht="12.75" hidden="1">
      <c r="B21" s="17" t="s">
        <v>34</v>
      </c>
      <c r="G21" s="17" t="s">
        <v>3</v>
      </c>
      <c r="I21" s="19">
        <f>I20/K31</f>
        <v>4038.6636636636645</v>
      </c>
      <c r="K21" s="22" t="s">
        <v>50</v>
      </c>
      <c r="L21" s="23"/>
      <c r="M21" s="23"/>
      <c r="N21" s="46">
        <v>0.8</v>
      </c>
    </row>
    <row r="22" spans="2:14" ht="13.5" hidden="1" thickBot="1">
      <c r="B22" s="17" t="s">
        <v>35</v>
      </c>
      <c r="G22" s="17" t="s">
        <v>1</v>
      </c>
      <c r="I22" s="19">
        <f>I21*L31</f>
        <v>3230.930930930932</v>
      </c>
      <c r="K22" s="24" t="s">
        <v>51</v>
      </c>
      <c r="L22" s="25"/>
      <c r="M22" s="25"/>
      <c r="N22" s="47">
        <v>0.9</v>
      </c>
    </row>
    <row r="23" spans="2:10" ht="12.75" hidden="1">
      <c r="B23" s="17" t="s">
        <v>36</v>
      </c>
      <c r="G23" s="17" t="s">
        <v>6</v>
      </c>
      <c r="J23" s="44">
        <v>0.7</v>
      </c>
    </row>
    <row r="24" spans="2:10" ht="12.75" hidden="1">
      <c r="B24" s="17" t="s">
        <v>37</v>
      </c>
      <c r="G24" s="17" t="s">
        <v>1</v>
      </c>
      <c r="I24" s="19">
        <f>I22*J23</f>
        <v>2261.651651651652</v>
      </c>
      <c r="J24" s="44"/>
    </row>
    <row r="25" spans="2:10" ht="12.75" hidden="1">
      <c r="B25" s="17" t="s">
        <v>38</v>
      </c>
      <c r="G25" s="17" t="s">
        <v>1</v>
      </c>
      <c r="I25" s="19">
        <f>I22-I24</f>
        <v>969.2792792792798</v>
      </c>
      <c r="J25" s="44"/>
    </row>
    <row r="26" spans="2:10" ht="12.75" hidden="1">
      <c r="B26" s="17" t="s">
        <v>39</v>
      </c>
      <c r="G26" s="17" t="s">
        <v>10</v>
      </c>
      <c r="I26" s="19">
        <f>I24*H11/100</f>
        <v>286.5512642642643</v>
      </c>
      <c r="J26" s="44"/>
    </row>
    <row r="27" spans="9:10" ht="12.75">
      <c r="I27" s="19"/>
      <c r="J27" s="44"/>
    </row>
    <row r="28" spans="2:10" ht="13.5" thickBot="1">
      <c r="B28" s="43" t="s">
        <v>11</v>
      </c>
      <c r="C28" s="43"/>
      <c r="D28" s="43"/>
      <c r="E28" s="43"/>
      <c r="F28" s="43"/>
      <c r="G28" s="43" t="s">
        <v>8</v>
      </c>
      <c r="H28" s="49">
        <v>3</v>
      </c>
      <c r="I28" s="19"/>
      <c r="J28" s="17">
        <v>2</v>
      </c>
    </row>
    <row r="29" spans="2:14" ht="12.75">
      <c r="B29" s="17" t="s">
        <v>40</v>
      </c>
      <c r="G29" s="17" t="s">
        <v>10</v>
      </c>
      <c r="I29" s="19">
        <f>I25*0.02</f>
        <v>19.385585585585595</v>
      </c>
      <c r="J29" s="44"/>
      <c r="K29" s="20" t="s">
        <v>47</v>
      </c>
      <c r="L29" s="21"/>
      <c r="M29" s="21"/>
      <c r="N29" s="26"/>
    </row>
    <row r="30" spans="2:14" ht="12.75">
      <c r="B30" s="43" t="s">
        <v>85</v>
      </c>
      <c r="G30" s="43" t="s">
        <v>8</v>
      </c>
      <c r="H30" s="49">
        <v>15</v>
      </c>
      <c r="I30" s="19">
        <f>I26+I29</f>
        <v>305.9368498498499</v>
      </c>
      <c r="J30" s="43" t="s">
        <v>86</v>
      </c>
      <c r="K30" s="22" t="s">
        <v>44</v>
      </c>
      <c r="L30" s="23" t="s">
        <v>45</v>
      </c>
      <c r="M30" s="23" t="s">
        <v>48</v>
      </c>
      <c r="N30" s="27"/>
    </row>
    <row r="31" spans="2:14" ht="13.5" thickBot="1">
      <c r="B31" s="17" t="s">
        <v>42</v>
      </c>
      <c r="G31" s="17" t="s">
        <v>10</v>
      </c>
      <c r="H31" s="17">
        <f>M31</f>
        <v>500</v>
      </c>
      <c r="I31" s="19"/>
      <c r="J31" s="19">
        <v>500</v>
      </c>
      <c r="K31" s="24">
        <v>6</v>
      </c>
      <c r="L31" s="25">
        <v>0.8</v>
      </c>
      <c r="M31" s="25">
        <v>500</v>
      </c>
      <c r="N31" s="28"/>
    </row>
    <row r="32" spans="2:10" ht="12.75">
      <c r="B32" s="17" t="s">
        <v>43</v>
      </c>
      <c r="G32" s="17" t="s">
        <v>17</v>
      </c>
      <c r="I32" s="19">
        <f>ROUNDUP(J31/I30,0)</f>
        <v>2</v>
      </c>
      <c r="J32" s="44"/>
    </row>
    <row r="33" spans="4:10" ht="12.75">
      <c r="D33" s="43" t="s">
        <v>54</v>
      </c>
      <c r="F33" s="48" t="s">
        <v>55</v>
      </c>
      <c r="I33" s="19"/>
      <c r="J33" s="44"/>
    </row>
    <row r="34" spans="9:10" ht="12.75">
      <c r="I34" s="19"/>
      <c r="J34" s="44"/>
    </row>
    <row r="35" spans="4:7" ht="12.75">
      <c r="D35" s="29" t="s">
        <v>0</v>
      </c>
      <c r="E35" s="30">
        <f>I20</f>
        <v>24231.981981981986</v>
      </c>
      <c r="F35" s="31" t="s">
        <v>1</v>
      </c>
      <c r="G35" s="32"/>
    </row>
    <row r="36" spans="4:7" ht="12.75">
      <c r="D36" s="33" t="s">
        <v>2</v>
      </c>
      <c r="E36" s="34">
        <f>E35/K31</f>
        <v>4038.6636636636645</v>
      </c>
      <c r="F36" s="35" t="s">
        <v>3</v>
      </c>
      <c r="G36" s="32"/>
    </row>
    <row r="37" spans="4:7" ht="12.75">
      <c r="D37" s="33" t="s">
        <v>4</v>
      </c>
      <c r="E37" s="34">
        <f>E36*L31</f>
        <v>3230.930930930932</v>
      </c>
      <c r="F37" s="35" t="s">
        <v>1</v>
      </c>
      <c r="G37" s="32"/>
    </row>
    <row r="38" spans="4:7" ht="12.75">
      <c r="D38" s="33" t="s">
        <v>5</v>
      </c>
      <c r="E38" s="36">
        <f>J23</f>
        <v>0.7</v>
      </c>
      <c r="F38" s="35" t="s">
        <v>6</v>
      </c>
      <c r="G38" s="32"/>
    </row>
    <row r="39" spans="4:7" ht="12.75">
      <c r="D39" s="33" t="s">
        <v>7</v>
      </c>
      <c r="E39" s="35">
        <f>H11</f>
        <v>12.67</v>
      </c>
      <c r="F39" s="35" t="s">
        <v>8</v>
      </c>
      <c r="G39" s="32"/>
    </row>
    <row r="40" spans="4:7" ht="12.75">
      <c r="D40" s="33" t="s">
        <v>9</v>
      </c>
      <c r="E40" s="37">
        <f>E37*E38*E39/100</f>
        <v>286.5512642642643</v>
      </c>
      <c r="F40" s="35" t="s">
        <v>10</v>
      </c>
      <c r="G40" s="32"/>
    </row>
    <row r="41" spans="4:7" ht="12.75">
      <c r="D41" s="33" t="s">
        <v>11</v>
      </c>
      <c r="E41" s="35">
        <f>H28</f>
        <v>3</v>
      </c>
      <c r="F41" s="35" t="s">
        <v>8</v>
      </c>
      <c r="G41" s="32"/>
    </row>
    <row r="42" spans="4:7" ht="12.75">
      <c r="D42" s="33" t="s">
        <v>12</v>
      </c>
      <c r="E42" s="37">
        <f>E37*(1-E38)*E41/100</f>
        <v>29.078378378378392</v>
      </c>
      <c r="F42" s="35" t="s">
        <v>13</v>
      </c>
      <c r="G42" s="32"/>
    </row>
    <row r="43" spans="4:7" ht="12.75">
      <c r="D43" s="33" t="s">
        <v>14</v>
      </c>
      <c r="E43" s="37">
        <f>E40+E42</f>
        <v>315.6296426426427</v>
      </c>
      <c r="F43" s="35" t="s">
        <v>10</v>
      </c>
      <c r="G43" s="32"/>
    </row>
    <row r="44" spans="4:7" ht="12.75">
      <c r="D44" s="33" t="s">
        <v>15</v>
      </c>
      <c r="E44" s="35">
        <f>H31</f>
        <v>500</v>
      </c>
      <c r="F44" s="35" t="s">
        <v>10</v>
      </c>
      <c r="G44" s="32"/>
    </row>
    <row r="45" spans="4:7" ht="12.75">
      <c r="D45" s="33" t="s">
        <v>16</v>
      </c>
      <c r="E45" s="38">
        <f>E44/E43</f>
        <v>1.58413511422342</v>
      </c>
      <c r="F45" s="35" t="s">
        <v>17</v>
      </c>
      <c r="G45" s="32"/>
    </row>
  </sheetData>
  <sheetProtection/>
  <mergeCells count="1">
    <mergeCell ref="B4:H4"/>
  </mergeCells>
  <dataValidations count="1">
    <dataValidation type="list" allowBlank="1" showInputMessage="1" showErrorMessage="1" sqref="G19">
      <formula1>$K$19:$K$22</formula1>
    </dataValidation>
  </dataValidations>
  <hyperlinks>
    <hyperlink ref="F33" location="Result!D3" display="Result!D3"/>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8"/>
  <sheetViews>
    <sheetView zoomScalePageLayoutView="0" workbookViewId="0" topLeftCell="A1">
      <selection activeCell="G6" sqref="G6"/>
    </sheetView>
  </sheetViews>
  <sheetFormatPr defaultColWidth="9.140625" defaultRowHeight="12.75"/>
  <cols>
    <col min="3" max="3" width="19.28125" style="0" bestFit="1" customWidth="1"/>
    <col min="4" max="4" width="10.00390625" style="0" bestFit="1" customWidth="1"/>
    <col min="6" max="6" width="23.28125" style="0" bestFit="1" customWidth="1"/>
    <col min="7" max="9" width="9.140625" style="1" customWidth="1"/>
  </cols>
  <sheetData>
    <row r="1" spans="7:9" ht="12.75">
      <c r="G1" s="1" t="s">
        <v>29</v>
      </c>
      <c r="H1" s="1" t="s">
        <v>30</v>
      </c>
      <c r="I1" s="1" t="s">
        <v>31</v>
      </c>
    </row>
    <row r="4" spans="1:7" ht="12.75">
      <c r="A4" s="39" t="s">
        <v>18</v>
      </c>
      <c r="B4" s="39"/>
      <c r="C4" s="39"/>
      <c r="D4" s="39"/>
      <c r="E4" s="39"/>
      <c r="F4" s="39" t="s">
        <v>10</v>
      </c>
      <c r="G4" s="39">
        <f>Questions!H7</f>
        <v>760</v>
      </c>
    </row>
    <row r="5" spans="1:11" ht="12.75">
      <c r="A5" s="39" t="s">
        <v>19</v>
      </c>
      <c r="B5" s="39"/>
      <c r="C5" s="39"/>
      <c r="D5" s="39"/>
      <c r="E5" s="39"/>
      <c r="F5" s="39" t="s">
        <v>22</v>
      </c>
      <c r="G5" s="39">
        <f>Questions!H9</f>
        <v>28</v>
      </c>
      <c r="I5" s="1">
        <v>28</v>
      </c>
      <c r="J5">
        <f>365*G5/100</f>
        <v>102.2</v>
      </c>
      <c r="K5" t="s">
        <v>24</v>
      </c>
    </row>
    <row r="6" spans="1:11" ht="12.75">
      <c r="A6" s="39" t="s">
        <v>27</v>
      </c>
      <c r="B6" s="39"/>
      <c r="C6" s="39"/>
      <c r="D6" s="39"/>
      <c r="E6" s="39"/>
      <c r="F6" s="39" t="s">
        <v>8</v>
      </c>
      <c r="G6" s="39">
        <f>Questions!H11</f>
        <v>12.67</v>
      </c>
      <c r="I6" s="1">
        <v>12.67</v>
      </c>
      <c r="J6">
        <f>G4-J5</f>
        <v>657.8</v>
      </c>
      <c r="K6" t="s">
        <v>25</v>
      </c>
    </row>
    <row r="7" spans="1:9" ht="12.75">
      <c r="A7" t="s">
        <v>26</v>
      </c>
      <c r="F7" t="s">
        <v>1</v>
      </c>
      <c r="H7" s="3">
        <f>J6*100/G6</f>
        <v>5191.791633780584</v>
      </c>
      <c r="I7" s="3"/>
    </row>
    <row r="8" spans="1:7" ht="12.75">
      <c r="A8" s="40" t="s">
        <v>20</v>
      </c>
      <c r="B8" s="40"/>
      <c r="C8" s="40"/>
      <c r="D8" s="40"/>
      <c r="E8" s="40"/>
      <c r="F8" s="40" t="s">
        <v>10</v>
      </c>
      <c r="G8" s="40">
        <f>Questions!H13</f>
        <v>1200</v>
      </c>
    </row>
    <row r="9" spans="1:11" ht="12.75">
      <c r="A9" s="40" t="s">
        <v>21</v>
      </c>
      <c r="B9" s="40"/>
      <c r="C9" s="40"/>
      <c r="D9" s="40"/>
      <c r="E9" s="40"/>
      <c r="F9" s="40" t="s">
        <v>22</v>
      </c>
      <c r="G9" s="40">
        <f>Questions!H15</f>
        <v>34</v>
      </c>
      <c r="I9" s="1">
        <v>34</v>
      </c>
      <c r="J9">
        <f>365*G9/100</f>
        <v>124.1</v>
      </c>
      <c r="K9" t="s">
        <v>24</v>
      </c>
    </row>
    <row r="10" spans="1:10" ht="12.75">
      <c r="A10" s="40" t="s">
        <v>28</v>
      </c>
      <c r="B10" s="40"/>
      <c r="C10" s="40"/>
      <c r="D10" s="40"/>
      <c r="E10" s="40"/>
      <c r="F10" s="40" t="s">
        <v>8</v>
      </c>
      <c r="G10" s="40">
        <f>Questions!H17</f>
        <v>3.552</v>
      </c>
      <c r="I10" s="1">
        <v>3.552</v>
      </c>
      <c r="J10">
        <f>G8-J9</f>
        <v>1075.9</v>
      </c>
    </row>
    <row r="11" spans="1:8" ht="13.5" thickBot="1">
      <c r="A11" t="s">
        <v>32</v>
      </c>
      <c r="F11" t="s">
        <v>1</v>
      </c>
      <c r="H11" s="3">
        <f>J10*100/G10</f>
        <v>30289.97747747748</v>
      </c>
    </row>
    <row r="12" spans="1:13" ht="12.75">
      <c r="A12" s="40" t="s">
        <v>23</v>
      </c>
      <c r="B12" s="40"/>
      <c r="C12" s="40"/>
      <c r="D12" s="40"/>
      <c r="E12" s="40"/>
      <c r="F12" s="40" t="str">
        <f>Questions!G19</f>
        <v>3) wall mounted lightweight</v>
      </c>
      <c r="G12" s="41">
        <f>VLOOKUP(F12,J12:M15,4,TRUE)</f>
        <v>0.8</v>
      </c>
      <c r="I12" s="1">
        <v>0.7</v>
      </c>
      <c r="J12" s="5" t="s">
        <v>52</v>
      </c>
      <c r="K12" s="6"/>
      <c r="L12" s="6"/>
      <c r="M12" s="14">
        <v>0.6</v>
      </c>
    </row>
    <row r="13" spans="1:13" ht="12.75">
      <c r="A13" t="s">
        <v>33</v>
      </c>
      <c r="F13" t="s">
        <v>1</v>
      </c>
      <c r="H13" s="3">
        <f>H11*G12</f>
        <v>24231.981981981986</v>
      </c>
      <c r="J13" s="8" t="s">
        <v>49</v>
      </c>
      <c r="K13" s="9"/>
      <c r="L13" s="9"/>
      <c r="M13" s="15">
        <v>0.7</v>
      </c>
    </row>
    <row r="14" spans="1:13" ht="12.75">
      <c r="A14" t="s">
        <v>34</v>
      </c>
      <c r="F14" t="s">
        <v>3</v>
      </c>
      <c r="H14" s="3">
        <f>H13/J23</f>
        <v>3461.7117117117123</v>
      </c>
      <c r="J14" s="8" t="s">
        <v>50</v>
      </c>
      <c r="K14" s="9"/>
      <c r="L14" s="9"/>
      <c r="M14" s="15">
        <v>0.8</v>
      </c>
    </row>
    <row r="15" spans="1:13" ht="13.5" thickBot="1">
      <c r="A15" t="s">
        <v>35</v>
      </c>
      <c r="F15" t="s">
        <v>1</v>
      </c>
      <c r="H15" s="3">
        <f>H14*K23</f>
        <v>3461.7117117117123</v>
      </c>
      <c r="J15" s="11" t="s">
        <v>51</v>
      </c>
      <c r="K15" s="12"/>
      <c r="L15" s="12"/>
      <c r="M15" s="16">
        <v>0.9</v>
      </c>
    </row>
    <row r="16" spans="1:9" ht="12.75">
      <c r="A16" t="s">
        <v>36</v>
      </c>
      <c r="F16" t="s">
        <v>6</v>
      </c>
      <c r="I16" s="4">
        <v>0.7</v>
      </c>
    </row>
    <row r="17" spans="1:9" ht="12.75">
      <c r="A17" t="s">
        <v>37</v>
      </c>
      <c r="F17" t="s">
        <v>1</v>
      </c>
      <c r="H17" s="3">
        <f>H15*I16</f>
        <v>2423.1981981981985</v>
      </c>
      <c r="I17" s="4"/>
    </row>
    <row r="18" spans="1:9" ht="12.75">
      <c r="A18" t="s">
        <v>38</v>
      </c>
      <c r="F18" t="s">
        <v>1</v>
      </c>
      <c r="H18" s="3">
        <f>H15-H17</f>
        <v>1038.5135135135138</v>
      </c>
      <c r="I18" s="4"/>
    </row>
    <row r="19" spans="1:9" ht="12.75">
      <c r="A19" t="s">
        <v>39</v>
      </c>
      <c r="F19" t="s">
        <v>10</v>
      </c>
      <c r="H19" s="3">
        <f>H17*G6/100</f>
        <v>307.01921171171176</v>
      </c>
      <c r="I19" s="4"/>
    </row>
    <row r="20" spans="1:9" ht="13.5" thickBot="1">
      <c r="A20" s="40" t="s">
        <v>46</v>
      </c>
      <c r="B20" s="40"/>
      <c r="C20" s="40"/>
      <c r="D20" s="40"/>
      <c r="E20" s="40"/>
      <c r="F20" s="40" t="s">
        <v>8</v>
      </c>
      <c r="G20" s="40">
        <f>Questions!H28</f>
        <v>3</v>
      </c>
      <c r="H20" s="3"/>
      <c r="I20" s="1">
        <v>3</v>
      </c>
    </row>
    <row r="21" spans="1:13" ht="12.75">
      <c r="A21" t="s">
        <v>40</v>
      </c>
      <c r="F21" t="s">
        <v>10</v>
      </c>
      <c r="H21" s="3">
        <f>H18*0.02</f>
        <v>20.770270270270277</v>
      </c>
      <c r="I21" s="4"/>
      <c r="J21" s="5" t="s">
        <v>47</v>
      </c>
      <c r="K21" s="6"/>
      <c r="L21" s="6"/>
      <c r="M21" s="7"/>
    </row>
    <row r="22" spans="1:13" ht="12.75">
      <c r="A22" t="s">
        <v>41</v>
      </c>
      <c r="F22" t="s">
        <v>10</v>
      </c>
      <c r="H22" s="3">
        <f>H19+H21+H27-H31</f>
        <v>749.2371478296478</v>
      </c>
      <c r="I22" s="4"/>
      <c r="J22" s="8" t="s">
        <v>44</v>
      </c>
      <c r="K22" s="9" t="s">
        <v>45</v>
      </c>
      <c r="L22" s="9" t="s">
        <v>48</v>
      </c>
      <c r="M22" s="10"/>
    </row>
    <row r="23" spans="1:13" ht="13.5" thickBot="1">
      <c r="A23" t="s">
        <v>42</v>
      </c>
      <c r="F23" t="s">
        <v>10</v>
      </c>
      <c r="G23" s="1">
        <f>L23</f>
        <v>4000</v>
      </c>
      <c r="H23" s="3"/>
      <c r="I23" s="3">
        <v>4000</v>
      </c>
      <c r="J23" s="11">
        <v>7</v>
      </c>
      <c r="K23" s="12">
        <v>1</v>
      </c>
      <c r="L23" s="12">
        <v>4000</v>
      </c>
      <c r="M23" s="13"/>
    </row>
    <row r="24" spans="1:9" ht="12.75">
      <c r="A24" t="s">
        <v>43</v>
      </c>
      <c r="F24" t="s">
        <v>17</v>
      </c>
      <c r="H24" s="3">
        <f>ROUNDUP(I23/H22,0)</f>
        <v>6</v>
      </c>
      <c r="I24" s="4"/>
    </row>
    <row r="25" spans="8:9" ht="12.75">
      <c r="H25" s="3"/>
      <c r="I25" s="4"/>
    </row>
    <row r="26" spans="1:9" ht="12.75">
      <c r="A26" s="39" t="s">
        <v>66</v>
      </c>
      <c r="B26" s="39"/>
      <c r="C26" s="39"/>
      <c r="D26" s="39"/>
      <c r="E26" s="39"/>
      <c r="F26" s="39" t="s">
        <v>8</v>
      </c>
      <c r="G26" s="39">
        <f>Questions!H30</f>
        <v>15</v>
      </c>
      <c r="H26" s="3"/>
      <c r="I26" s="4"/>
    </row>
    <row r="27" spans="1:8" ht="12.75">
      <c r="A27" t="s">
        <v>67</v>
      </c>
      <c r="F27" s="2" t="s">
        <v>10</v>
      </c>
      <c r="H27" s="3">
        <f>G26*H15/100</f>
        <v>519.2567567567568</v>
      </c>
    </row>
    <row r="28" spans="1:8" ht="12.75">
      <c r="A28" t="s">
        <v>84</v>
      </c>
      <c r="F28" t="s">
        <v>1</v>
      </c>
      <c r="H28" s="3">
        <f>H13/0.88</f>
        <v>27536.343161343164</v>
      </c>
    </row>
    <row r="29" spans="1:8" ht="12.75">
      <c r="A29" t="s">
        <v>70</v>
      </c>
      <c r="F29" t="s">
        <v>1</v>
      </c>
      <c r="H29" s="3">
        <f>H13/0.8</f>
        <v>30289.97747747748</v>
      </c>
    </row>
    <row r="30" spans="1:8" ht="12.75">
      <c r="A30" t="s">
        <v>69</v>
      </c>
      <c r="F30" t="s">
        <v>1</v>
      </c>
      <c r="H30" s="3">
        <f>H29-H28</f>
        <v>2753.6343161343175</v>
      </c>
    </row>
    <row r="31" spans="1:8" ht="12.75">
      <c r="A31" t="s">
        <v>68</v>
      </c>
      <c r="F31" s="2" t="s">
        <v>10</v>
      </c>
      <c r="H31" s="3">
        <f>H30*G10/100</f>
        <v>97.80909090909095</v>
      </c>
    </row>
    <row r="32" ht="12.75">
      <c r="F32" s="2"/>
    </row>
    <row r="33" ht="12.75">
      <c r="F33" s="2"/>
    </row>
    <row r="34" ht="12.75">
      <c r="F34" s="2"/>
    </row>
    <row r="35" ht="12.75">
      <c r="F35" s="2"/>
    </row>
    <row r="36" ht="12.75">
      <c r="F36" s="2"/>
    </row>
    <row r="37" ht="12.75">
      <c r="F37" s="2"/>
    </row>
    <row r="38" ht="12.75">
      <c r="F38" s="2"/>
    </row>
  </sheetData>
  <sheetProtection/>
  <dataValidations count="1">
    <dataValidation type="list" allowBlank="1" showInputMessage="1" showErrorMessage="1" sqref="F12">
      <formula1>$J$12:$J$15</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D1:H23"/>
  <sheetViews>
    <sheetView zoomScalePageLayoutView="0" workbookViewId="0" topLeftCell="A1">
      <selection activeCell="D3" sqref="D3:H3"/>
    </sheetView>
  </sheetViews>
  <sheetFormatPr defaultColWidth="9.140625" defaultRowHeight="12.75"/>
  <cols>
    <col min="1" max="3" width="9.140625" style="43" customWidth="1"/>
    <col min="4" max="4" width="29.28125" style="43" customWidth="1"/>
    <col min="5" max="5" width="5.00390625" style="60" customWidth="1"/>
    <col min="6" max="6" width="10.00390625" style="43" customWidth="1"/>
    <col min="7" max="7" width="10.57421875" style="43" customWidth="1"/>
    <col min="8" max="8" width="48.28125" style="55" customWidth="1"/>
    <col min="9" max="16384" width="9.140625" style="43" customWidth="1"/>
  </cols>
  <sheetData>
    <row r="1" spans="4:5" ht="18">
      <c r="D1" s="42" t="s">
        <v>53</v>
      </c>
      <c r="E1" s="59"/>
    </row>
    <row r="2" spans="4:5" ht="18">
      <c r="D2" s="42"/>
      <c r="E2" s="59"/>
    </row>
    <row r="3" spans="4:8" ht="64.5" customHeight="1">
      <c r="D3" s="68" t="s">
        <v>63</v>
      </c>
      <c r="E3" s="68"/>
      <c r="F3" s="68"/>
      <c r="G3" s="68"/>
      <c r="H3" s="68"/>
    </row>
    <row r="4" ht="12.75">
      <c r="H4" s="55" t="s">
        <v>62</v>
      </c>
    </row>
    <row r="6" spans="4:8" s="53" customFormat="1" ht="66" customHeight="1">
      <c r="D6" s="63" t="s">
        <v>16</v>
      </c>
      <c r="E6" s="64"/>
      <c r="F6" s="65">
        <f>F19/F17</f>
        <v>4.66509638191568</v>
      </c>
      <c r="G6" s="66" t="s">
        <v>17</v>
      </c>
      <c r="H6" s="56" t="s">
        <v>65</v>
      </c>
    </row>
    <row r="7" spans="4:8" s="53" customFormat="1" ht="45.75" customHeight="1">
      <c r="D7" s="50" t="s">
        <v>0</v>
      </c>
      <c r="E7" s="61"/>
      <c r="F7" s="51">
        <f>Calculation!H13</f>
        <v>24231.981981981986</v>
      </c>
      <c r="G7" s="52" t="s">
        <v>1</v>
      </c>
      <c r="H7" s="56" t="s">
        <v>79</v>
      </c>
    </row>
    <row r="8" spans="4:8" s="53" customFormat="1" ht="59.25" customHeight="1">
      <c r="D8" s="50" t="s">
        <v>2</v>
      </c>
      <c r="E8" s="61"/>
      <c r="F8" s="51">
        <f>F7/Calculation!J23</f>
        <v>3461.7117117117123</v>
      </c>
      <c r="G8" s="52" t="s">
        <v>3</v>
      </c>
      <c r="H8" s="56" t="s">
        <v>80</v>
      </c>
    </row>
    <row r="9" spans="4:8" s="53" customFormat="1" ht="49.5" customHeight="1">
      <c r="D9" s="50" t="s">
        <v>4</v>
      </c>
      <c r="E9" s="61"/>
      <c r="F9" s="51">
        <f>F8*Calculation!K23</f>
        <v>3461.7117117117123</v>
      </c>
      <c r="G9" s="52" t="s">
        <v>1</v>
      </c>
      <c r="H9" s="56" t="s">
        <v>57</v>
      </c>
    </row>
    <row r="10" spans="4:8" s="53" customFormat="1" ht="84.75" customHeight="1">
      <c r="D10" s="50" t="s">
        <v>5</v>
      </c>
      <c r="E10" s="61"/>
      <c r="F10" s="54">
        <f>Calculation!I16</f>
        <v>0.7</v>
      </c>
      <c r="G10" s="52"/>
      <c r="H10" s="56" t="s">
        <v>58</v>
      </c>
    </row>
    <row r="11" spans="4:8" s="53" customFormat="1" ht="36.75" customHeight="1">
      <c r="D11" s="50" t="s">
        <v>7</v>
      </c>
      <c r="E11" s="61"/>
      <c r="F11" s="52">
        <f>Calculation!G6</f>
        <v>12.67</v>
      </c>
      <c r="G11" s="52" t="s">
        <v>8</v>
      </c>
      <c r="H11" s="56" t="s">
        <v>59</v>
      </c>
    </row>
    <row r="12" spans="4:8" s="53" customFormat="1" ht="50.25" customHeight="1">
      <c r="D12" s="50" t="s">
        <v>9</v>
      </c>
      <c r="E12" s="61" t="s">
        <v>10</v>
      </c>
      <c r="F12" s="57">
        <f>F9*F10*F11/100</f>
        <v>307.01921171171176</v>
      </c>
      <c r="G12" s="52"/>
      <c r="H12" s="56" t="s">
        <v>60</v>
      </c>
    </row>
    <row r="13" spans="4:8" s="53" customFormat="1" ht="114.75">
      <c r="D13" s="50" t="s">
        <v>11</v>
      </c>
      <c r="E13" s="61"/>
      <c r="F13" s="52">
        <f>Calculation!G20</f>
        <v>3</v>
      </c>
      <c r="G13" s="52" t="s">
        <v>8</v>
      </c>
      <c r="H13" s="56" t="s">
        <v>78</v>
      </c>
    </row>
    <row r="14" spans="4:8" s="53" customFormat="1" ht="43.5" customHeight="1">
      <c r="D14" s="50" t="s">
        <v>12</v>
      </c>
      <c r="E14" s="62" t="s">
        <v>13</v>
      </c>
      <c r="F14" s="57">
        <f>F9*(1-F10)*F13/100</f>
        <v>31.155405405405414</v>
      </c>
      <c r="H14" s="56" t="s">
        <v>61</v>
      </c>
    </row>
    <row r="15" spans="4:8" s="53" customFormat="1" ht="43.5" customHeight="1">
      <c r="D15" s="50" t="s">
        <v>71</v>
      </c>
      <c r="E15" s="62" t="s">
        <v>10</v>
      </c>
      <c r="F15" s="57">
        <f>Calculation!H27</f>
        <v>519.2567567567568</v>
      </c>
      <c r="H15" s="56" t="s">
        <v>72</v>
      </c>
    </row>
    <row r="16" spans="4:8" s="53" customFormat="1" ht="93" customHeight="1">
      <c r="D16" s="50" t="s">
        <v>73</v>
      </c>
      <c r="E16" s="62" t="s">
        <v>10</v>
      </c>
      <c r="F16" s="57">
        <f>Calculation!H31</f>
        <v>97.80909090909095</v>
      </c>
      <c r="H16" s="56" t="s">
        <v>74</v>
      </c>
    </row>
    <row r="17" spans="4:8" s="53" customFormat="1" ht="43.5" customHeight="1">
      <c r="D17" s="50" t="s">
        <v>14</v>
      </c>
      <c r="E17" s="62" t="s">
        <v>10</v>
      </c>
      <c r="F17" s="57">
        <f>F12+F14+F15</f>
        <v>857.431373873874</v>
      </c>
      <c r="H17" s="56" t="s">
        <v>75</v>
      </c>
    </row>
    <row r="18" spans="4:8" s="53" customFormat="1" ht="43.5" customHeight="1">
      <c r="D18" s="50" t="s">
        <v>76</v>
      </c>
      <c r="E18" s="62" t="s">
        <v>10</v>
      </c>
      <c r="F18" s="57">
        <f>Calculation!H22</f>
        <v>749.2371478296478</v>
      </c>
      <c r="H18" s="56" t="s">
        <v>77</v>
      </c>
    </row>
    <row r="19" spans="4:8" s="53" customFormat="1" ht="72.75" customHeight="1">
      <c r="D19" s="50" t="s">
        <v>15</v>
      </c>
      <c r="E19" s="62" t="s">
        <v>10</v>
      </c>
      <c r="F19" s="58">
        <f>Calculation!G23</f>
        <v>4000</v>
      </c>
      <c r="H19" s="56" t="s">
        <v>81</v>
      </c>
    </row>
    <row r="23" ht="12.75">
      <c r="G23" s="48" t="s">
        <v>64</v>
      </c>
    </row>
  </sheetData>
  <sheetProtection/>
  <mergeCells count="1">
    <mergeCell ref="D3:H3"/>
  </mergeCells>
  <hyperlinks>
    <hyperlink ref="G23" location="Questions!A1" display="Questions!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jrh</dc:creator>
  <cp:keywords/>
  <dc:description/>
  <cp:lastModifiedBy>Jeremy</cp:lastModifiedBy>
  <dcterms:created xsi:type="dcterms:W3CDTF">2003-07-09T15:11:01Z</dcterms:created>
  <dcterms:modified xsi:type="dcterms:W3CDTF">2012-01-10T10:38:40Z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